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tabRatio="666" activeTab="1"/>
  </bookViews>
  <sheets>
    <sheet name="rig centre of effort" sheetId="1" r:id="rId1"/>
    <sheet name="rig centre of area " sheetId="2" r:id="rId2"/>
  </sheets>
  <definedNames>
    <definedName name="_xlnm.Print_Area" localSheetId="1">'rig centre of area '!$B$2:$H$39</definedName>
    <definedName name="_xlnm.Print_Area" localSheetId="0">'rig centre of effort'!$B$2:$H$39</definedName>
  </definedNames>
  <calcPr fullCalcOnLoad="1"/>
</workbook>
</file>

<file path=xl/sharedStrings.xml><?xml version="1.0" encoding="utf-8"?>
<sst xmlns="http://schemas.openxmlformats.org/spreadsheetml/2006/main" count="140" uniqueCount="54">
  <si>
    <t>mm</t>
  </si>
  <si>
    <t>mm^2</t>
  </si>
  <si>
    <t>R</t>
  </si>
  <si>
    <t>SAILSetc</t>
  </si>
  <si>
    <t>mainsail</t>
  </si>
  <si>
    <t>head width</t>
  </si>
  <si>
    <t>half width</t>
  </si>
  <si>
    <t>quarter width</t>
  </si>
  <si>
    <t>luff perpendicular (foot)</t>
  </si>
  <si>
    <t>luff</t>
  </si>
  <si>
    <t>depth of foot roach</t>
  </si>
  <si>
    <t>lca foot area aft of mast</t>
  </si>
  <si>
    <t xml:space="preserve">major area </t>
  </si>
  <si>
    <t xml:space="preserve">foot area </t>
  </si>
  <si>
    <t>lca major area aft of mast</t>
  </si>
  <si>
    <t>vca major area above tack</t>
  </si>
  <si>
    <t>vca foot area above tack</t>
  </si>
  <si>
    <t>foretriangle</t>
  </si>
  <si>
    <t>three quarter width</t>
  </si>
  <si>
    <t>height foretriangle</t>
  </si>
  <si>
    <t>base of foretriangle</t>
  </si>
  <si>
    <t>area of headsail if known</t>
  </si>
  <si>
    <t>effective area</t>
  </si>
  <si>
    <t>lca forward of mast</t>
  </si>
  <si>
    <t>vca above deck</t>
  </si>
  <si>
    <t>mainsail tack above deck</t>
  </si>
  <si>
    <t>mast fore and aft dimension at deck</t>
  </si>
  <si>
    <t>mast rake - degrees (positive aft)</t>
  </si>
  <si>
    <t>wrt le mast at deck</t>
  </si>
  <si>
    <t>wrt deck level</t>
  </si>
  <si>
    <t>total sail area</t>
  </si>
  <si>
    <t>lca with respect to leading edge of mast at deck</t>
  </si>
  <si>
    <t>negative denotes the lca is aft of the leading edge of the mast at deck</t>
  </si>
  <si>
    <t>vca with respect to deck datum</t>
  </si>
  <si>
    <r>
      <t>Triangle</t>
    </r>
    <r>
      <rPr>
        <sz val="10"/>
        <rFont val="Arial"/>
        <family val="0"/>
      </rPr>
      <t xml:space="preserve"> or </t>
    </r>
    <r>
      <rPr>
        <b/>
        <sz val="10"/>
        <color indexed="10"/>
        <rFont val="Arial"/>
        <family val="2"/>
      </rPr>
      <t>Round</t>
    </r>
    <r>
      <rPr>
        <sz val="10"/>
        <rFont val="Arial"/>
        <family val="0"/>
      </rPr>
      <t xml:space="preserve"> foot profile (</t>
    </r>
    <r>
      <rPr>
        <b/>
        <sz val="10"/>
        <color indexed="10"/>
        <rFont val="Arial"/>
        <family val="2"/>
      </rPr>
      <t>T or R</t>
    </r>
    <r>
      <rPr>
        <sz val="10"/>
        <rFont val="Arial"/>
        <family val="0"/>
      </rPr>
      <t>)</t>
    </r>
  </si>
  <si>
    <t>degrees</t>
  </si>
  <si>
    <t>data for rig - in upright condition</t>
  </si>
  <si>
    <t>data for rig - when raked</t>
  </si>
  <si>
    <t>rig centre of AREA calculation</t>
  </si>
  <si>
    <t>rig centre of EFFORT calculation</t>
  </si>
  <si>
    <t>lce major area aft of mast</t>
  </si>
  <si>
    <t>lce foot area aft of mast</t>
  </si>
  <si>
    <t>vce major area above tack</t>
  </si>
  <si>
    <t>vce foot area above tack</t>
  </si>
  <si>
    <t>lce forward of mast</t>
  </si>
  <si>
    <t>vce above deck</t>
  </si>
  <si>
    <t>lce main aft of luff</t>
  </si>
  <si>
    <t>lce headsail fwd clew</t>
  </si>
  <si>
    <t>weighting for headsail wrt main</t>
  </si>
  <si>
    <t>lce with respect to leading edge of mast at deck</t>
  </si>
  <si>
    <t>vce with respect to deck datum</t>
  </si>
  <si>
    <t>v1 version January 2016</t>
  </si>
  <si>
    <t>differences from centre of AREA - centre of pressure of mainsail and headsail are estimated positions - headsail effectiveness is enhanced wrt mainsail</t>
  </si>
  <si>
    <t>NB no account is taken of wind shear - for version 2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</si>
</sst>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0000"/>
    <numFmt numFmtId="168" formatCode="0.000000"/>
    <numFmt numFmtId="169" formatCode="_-* #,##0.0_-;\-* #,##0.0_-;_-* &quot;-&quot;??_-;_-@_-"/>
    <numFmt numFmtId="170" formatCode="_-* #,##0_-;\-* #,##0_-;_-* &quot;-&quot;??_-;_-@_-"/>
    <numFmt numFmtId="171" formatCode="0.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00000"/>
    <numFmt numFmtId="177" formatCode="0.00000000000"/>
    <numFmt numFmtId="178" formatCode="0.0000000000"/>
    <numFmt numFmtId="179" formatCode="0.000000000"/>
    <numFmt numFmtId="180" formatCode="0.00000000"/>
    <numFmt numFmtId="181" formatCode="0.0000000"/>
  </numFmts>
  <fonts count="14">
    <font>
      <sz val="10"/>
      <name val="Arial"/>
      <family val="0"/>
    </font>
    <font>
      <i/>
      <sz val="10"/>
      <name val="Arial"/>
      <family val="2"/>
    </font>
    <font>
      <sz val="20"/>
      <color indexed="12"/>
      <name val="Arial"/>
      <family val="2"/>
    </font>
    <font>
      <i/>
      <sz val="16"/>
      <color indexed="12"/>
      <name val="Arial"/>
      <family val="2"/>
    </font>
    <font>
      <b/>
      <sz val="10"/>
      <color indexed="12"/>
      <name val="Arial"/>
      <family val="2"/>
    </font>
    <font>
      <i/>
      <sz val="20"/>
      <color indexed="12"/>
      <name val="Arial"/>
      <family val="2"/>
    </font>
    <font>
      <b/>
      <i/>
      <sz val="10"/>
      <name val="Arial"/>
      <family val="2"/>
    </font>
    <font>
      <b/>
      <sz val="20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i/>
      <sz val="8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7" fillId="2" borderId="0" xfId="0" applyFont="1" applyFill="1" applyAlignment="1">
      <alignment horizontal="right"/>
    </xf>
    <xf numFmtId="0" fontId="4" fillId="2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4" fillId="3" borderId="0" xfId="0" applyFont="1" applyFill="1" applyAlignment="1" applyProtection="1">
      <alignment/>
      <protection locked="0"/>
    </xf>
    <xf numFmtId="0" fontId="4" fillId="3" borderId="0" xfId="0" applyFont="1" applyFill="1" applyAlignment="1" applyProtection="1">
      <alignment horizontal="right"/>
      <protection locked="0"/>
    </xf>
    <xf numFmtId="166" fontId="4" fillId="3" borderId="0" xfId="0" applyNumberFormat="1" applyFont="1" applyFill="1" applyAlignment="1" applyProtection="1">
      <alignment/>
      <protection locked="0"/>
    </xf>
    <xf numFmtId="0" fontId="9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1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1" fontId="1" fillId="0" borderId="4" xfId="0" applyNumberFormat="1" applyFont="1" applyBorder="1" applyAlignment="1">
      <alignment/>
    </xf>
    <xf numFmtId="1" fontId="6" fillId="0" borderId="6" xfId="0" applyNumberFormat="1" applyFont="1" applyBorder="1" applyAlignment="1">
      <alignment/>
    </xf>
    <xf numFmtId="1" fontId="1" fillId="0" borderId="7" xfId="0" applyNumberFormat="1" applyFont="1" applyBorder="1" applyAlignment="1">
      <alignment/>
    </xf>
    <xf numFmtId="1" fontId="6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8" fillId="3" borderId="0" xfId="0" applyFont="1" applyFill="1" applyAlignment="1">
      <alignment/>
    </xf>
    <xf numFmtId="17" fontId="0" fillId="0" borderId="0" xfId="0" applyNumberFormat="1" applyAlignment="1">
      <alignment horizontal="right"/>
    </xf>
    <xf numFmtId="0" fontId="13" fillId="2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9"/>
  <sheetViews>
    <sheetView workbookViewId="0" topLeftCell="A1">
      <selection activeCell="E28" sqref="E28"/>
    </sheetView>
  </sheetViews>
  <sheetFormatPr defaultColWidth="9.140625" defaultRowHeight="12.75"/>
  <cols>
    <col min="1" max="1" width="4.7109375" style="0" customWidth="1"/>
    <col min="2" max="2" width="41.28125" style="0" customWidth="1"/>
    <col min="5" max="5" width="33.00390625" style="0" customWidth="1"/>
    <col min="7" max="7" width="18.28125" style="0" customWidth="1"/>
    <col min="9" max="9" width="10.7109375" style="0" customWidth="1"/>
    <col min="10" max="10" width="2.00390625" style="0" customWidth="1"/>
    <col min="11" max="16" width="10.7109375" style="0" hidden="1" customWidth="1"/>
    <col min="17" max="18" width="10.7109375" style="0" customWidth="1"/>
  </cols>
  <sheetData>
    <row r="2" spans="2:8" s="2" customFormat="1" ht="26.25">
      <c r="B2" s="3" t="s">
        <v>39</v>
      </c>
      <c r="C2" s="3"/>
      <c r="D2" s="3"/>
      <c r="E2" s="4"/>
      <c r="F2" s="5"/>
      <c r="G2" s="5"/>
      <c r="H2" s="6" t="s">
        <v>3</v>
      </c>
    </row>
    <row r="3" spans="2:11" ht="12.75">
      <c r="B3" t="s">
        <v>52</v>
      </c>
      <c r="J3" t="s">
        <v>46</v>
      </c>
      <c r="K3" s="30">
        <v>0.333</v>
      </c>
    </row>
    <row r="4" spans="2:11" ht="12.75">
      <c r="B4" s="7" t="s">
        <v>4</v>
      </c>
      <c r="C4" s="7"/>
      <c r="D4" s="7"/>
      <c r="E4" s="7"/>
      <c r="F4" s="7"/>
      <c r="G4" s="7"/>
      <c r="H4" s="7"/>
      <c r="J4" t="s">
        <v>47</v>
      </c>
      <c r="K4" s="30">
        <v>0.5</v>
      </c>
    </row>
    <row r="5" spans="10:11" ht="12.75">
      <c r="J5" t="s">
        <v>48</v>
      </c>
      <c r="K5" s="30">
        <v>1.5</v>
      </c>
    </row>
    <row r="6" spans="2:16" ht="12.75">
      <c r="B6" t="s">
        <v>5</v>
      </c>
      <c r="C6" s="12">
        <v>20</v>
      </c>
      <c r="D6" t="s">
        <v>0</v>
      </c>
      <c r="E6" t="s">
        <v>12</v>
      </c>
      <c r="F6" s="8">
        <f>0.33333*(C12/4)*L11</f>
        <v>566661.0000000001</v>
      </c>
      <c r="G6" s="8"/>
      <c r="H6" t="s">
        <v>1</v>
      </c>
      <c r="K6" s="16">
        <v>1</v>
      </c>
      <c r="L6" s="17">
        <f>C6*K6</f>
        <v>20</v>
      </c>
      <c r="M6" s="17">
        <f>$K$3*C6</f>
        <v>6.66</v>
      </c>
      <c r="N6" s="17">
        <f>L6*M6</f>
        <v>133.2</v>
      </c>
      <c r="O6" s="17">
        <v>1</v>
      </c>
      <c r="P6" s="18">
        <f>L6*O6</f>
        <v>20</v>
      </c>
    </row>
    <row r="7" spans="2:16" ht="12.75">
      <c r="B7" t="s">
        <v>18</v>
      </c>
      <c r="C7" s="12">
        <v>200</v>
      </c>
      <c r="D7" t="s">
        <v>0</v>
      </c>
      <c r="E7" t="s">
        <v>13</v>
      </c>
      <c r="F7" s="8">
        <f>C10*C13*K13</f>
        <v>13340</v>
      </c>
      <c r="G7" s="8"/>
      <c r="H7" t="s">
        <v>1</v>
      </c>
      <c r="K7" s="19">
        <v>4</v>
      </c>
      <c r="L7" s="20">
        <f>C7*K7</f>
        <v>800</v>
      </c>
      <c r="M7" s="20">
        <f>$K$3*C7</f>
        <v>66.60000000000001</v>
      </c>
      <c r="N7" s="20">
        <f>L7*M7</f>
        <v>53280.00000000001</v>
      </c>
      <c r="O7" s="20">
        <v>0.75</v>
      </c>
      <c r="P7" s="21">
        <f>L7*O7</f>
        <v>600</v>
      </c>
    </row>
    <row r="8" spans="2:16" ht="12.75">
      <c r="B8" t="s">
        <v>6</v>
      </c>
      <c r="C8" s="12">
        <v>310</v>
      </c>
      <c r="D8" t="s">
        <v>0</v>
      </c>
      <c r="F8" s="8"/>
      <c r="G8" s="9" t="s">
        <v>28</v>
      </c>
      <c r="K8" s="19">
        <v>2</v>
      </c>
      <c r="L8" s="20">
        <f>C8*K8</f>
        <v>620</v>
      </c>
      <c r="M8" s="20">
        <f>$K$3*C8</f>
        <v>103.23</v>
      </c>
      <c r="N8" s="20">
        <f>L8*M8</f>
        <v>64002.600000000006</v>
      </c>
      <c r="O8" s="20">
        <v>0.5</v>
      </c>
      <c r="P8" s="21">
        <f>L8*O8</f>
        <v>310</v>
      </c>
    </row>
    <row r="9" spans="2:16" ht="12.75">
      <c r="B9" t="s">
        <v>7</v>
      </c>
      <c r="C9" s="12">
        <v>390</v>
      </c>
      <c r="D9" t="s">
        <v>0</v>
      </c>
      <c r="E9" t="s">
        <v>40</v>
      </c>
      <c r="F9" s="1">
        <f>M11</f>
        <v>109.79205882352942</v>
      </c>
      <c r="G9" s="1">
        <f>-F9-C27</f>
        <v>-123.79205882352942</v>
      </c>
      <c r="H9" t="s">
        <v>0</v>
      </c>
      <c r="K9" s="19">
        <v>4</v>
      </c>
      <c r="L9" s="20">
        <f>C9*K9</f>
        <v>1560</v>
      </c>
      <c r="M9" s="20">
        <f>$K$3*C9</f>
        <v>129.87</v>
      </c>
      <c r="N9" s="20">
        <f>L9*M9</f>
        <v>202597.2</v>
      </c>
      <c r="O9" s="20">
        <v>0.25</v>
      </c>
      <c r="P9" s="21">
        <f>L9*O9</f>
        <v>390</v>
      </c>
    </row>
    <row r="10" spans="2:16" ht="12.75">
      <c r="B10" t="s">
        <v>8</v>
      </c>
      <c r="C10" s="12">
        <v>400</v>
      </c>
      <c r="D10" t="s">
        <v>0</v>
      </c>
      <c r="E10" t="s">
        <v>41</v>
      </c>
      <c r="F10" s="8">
        <f>0.5*C10</f>
        <v>200</v>
      </c>
      <c r="G10" s="8">
        <f>-F10-C27</f>
        <v>-214</v>
      </c>
      <c r="H10" t="s">
        <v>0</v>
      </c>
      <c r="K10" s="19">
        <v>1</v>
      </c>
      <c r="L10" s="20">
        <f>C10*K10</f>
        <v>400</v>
      </c>
      <c r="M10" s="20">
        <f>$K$3*C10</f>
        <v>133.20000000000002</v>
      </c>
      <c r="N10" s="20">
        <f>L10*M10</f>
        <v>53280.00000000001</v>
      </c>
      <c r="O10" s="20">
        <v>0</v>
      </c>
      <c r="P10" s="21">
        <f>L10*O10</f>
        <v>0</v>
      </c>
    </row>
    <row r="11" spans="6:16" ht="12.75">
      <c r="F11" s="8"/>
      <c r="G11" s="9" t="s">
        <v>29</v>
      </c>
      <c r="K11" s="19"/>
      <c r="L11" s="20">
        <f>SUM(L6:L10)</f>
        <v>3400</v>
      </c>
      <c r="M11" s="22">
        <f>N11/L11</f>
        <v>109.79205882352942</v>
      </c>
      <c r="N11" s="20">
        <f>SUM(N6:N10)</f>
        <v>373293</v>
      </c>
      <c r="O11" s="23">
        <f>P11/L11</f>
        <v>0.38823529411764707</v>
      </c>
      <c r="P11" s="21">
        <f>SUM(P6:P10)</f>
        <v>1320</v>
      </c>
    </row>
    <row r="12" spans="2:16" ht="12.75">
      <c r="B12" t="s">
        <v>9</v>
      </c>
      <c r="C12" s="12">
        <v>2000</v>
      </c>
      <c r="D12" t="s">
        <v>0</v>
      </c>
      <c r="E12" t="s">
        <v>42</v>
      </c>
      <c r="F12" s="1">
        <f>C12*O11</f>
        <v>776.4705882352941</v>
      </c>
      <c r="G12" s="1">
        <f>F12+C26</f>
        <v>856.4705882352941</v>
      </c>
      <c r="H12" t="s">
        <v>0</v>
      </c>
      <c r="K12" s="19"/>
      <c r="L12" s="20"/>
      <c r="M12" s="20"/>
      <c r="N12" s="20"/>
      <c r="O12" s="20"/>
      <c r="P12" s="21"/>
    </row>
    <row r="13" spans="2:16" ht="12.75">
      <c r="B13" t="s">
        <v>10</v>
      </c>
      <c r="C13" s="12">
        <v>50</v>
      </c>
      <c r="D13" t="s">
        <v>0</v>
      </c>
      <c r="E13" t="s">
        <v>43</v>
      </c>
      <c r="F13" s="1">
        <f>-C13*K14</f>
        <v>-19.46666666666667</v>
      </c>
      <c r="G13" s="1">
        <f>C26+F13</f>
        <v>60.53333333333333</v>
      </c>
      <c r="H13" t="s">
        <v>0</v>
      </c>
      <c r="K13" s="19">
        <f>IF(C14="T",0.5,0.667)</f>
        <v>0.667</v>
      </c>
      <c r="L13" s="20"/>
      <c r="M13" s="20"/>
      <c r="N13" s="20"/>
      <c r="O13" s="20"/>
      <c r="P13" s="21"/>
    </row>
    <row r="14" spans="2:16" ht="12.75">
      <c r="B14" s="10" t="s">
        <v>34</v>
      </c>
      <c r="C14" s="13" t="s">
        <v>2</v>
      </c>
      <c r="E14" s="11" t="str">
        <f>IF(C14="T","triangular foot profile","curved foot profile")</f>
        <v>curved foot profile</v>
      </c>
      <c r="K14" s="24">
        <f>0.167+K13/3</f>
        <v>0.38933333333333336</v>
      </c>
      <c r="L14" s="20"/>
      <c r="M14" s="20"/>
      <c r="N14" s="20"/>
      <c r="O14" s="20"/>
      <c r="P14" s="21"/>
    </row>
    <row r="15" spans="11:16" ht="12.75">
      <c r="K15" s="19"/>
      <c r="L15" s="20"/>
      <c r="M15" s="20"/>
      <c r="N15" s="20"/>
      <c r="O15" s="20"/>
      <c r="P15" s="21"/>
    </row>
    <row r="16" spans="2:16" ht="12.75">
      <c r="B16" s="7" t="s">
        <v>17</v>
      </c>
      <c r="C16" s="7"/>
      <c r="D16" s="7"/>
      <c r="E16" s="7"/>
      <c r="F16" s="7"/>
      <c r="G16" s="7"/>
      <c r="H16" s="7"/>
      <c r="K16" s="19"/>
      <c r="L16" s="20"/>
      <c r="M16" s="20"/>
      <c r="N16" s="20"/>
      <c r="O16" s="20"/>
      <c r="P16" s="21"/>
    </row>
    <row r="17" spans="11:16" ht="12.75">
      <c r="K17" s="19"/>
      <c r="L17" s="20"/>
      <c r="M17" s="20"/>
      <c r="N17" s="20"/>
      <c r="O17" s="20"/>
      <c r="P17" s="21"/>
    </row>
    <row r="18" spans="2:16" ht="12.75">
      <c r="B18" t="s">
        <v>19</v>
      </c>
      <c r="C18" s="12">
        <v>1685</v>
      </c>
      <c r="D18" t="s">
        <v>0</v>
      </c>
      <c r="E18" t="s">
        <v>22</v>
      </c>
      <c r="F18" s="1">
        <f>C18*C19*0.5*N20</f>
        <v>348000</v>
      </c>
      <c r="G18" s="1"/>
      <c r="H18" t="s">
        <v>1</v>
      </c>
      <c r="K18" s="19">
        <f>C21/(0.5*C18*C19)</f>
        <v>0.8695923785725441</v>
      </c>
      <c r="L18" s="20">
        <f>IF(K18&lt;0.75,0.75,K18)</f>
        <v>0.8695923785725441</v>
      </c>
      <c r="M18" s="20">
        <f>IF(K18&gt;0.9,0.9,K18)</f>
        <v>0.8695923785725441</v>
      </c>
      <c r="N18" s="20"/>
      <c r="O18" s="20"/>
      <c r="P18" s="21"/>
    </row>
    <row r="19" spans="2:16" ht="12.75">
      <c r="B19" t="s">
        <v>20</v>
      </c>
      <c r="C19" s="12">
        <v>475</v>
      </c>
      <c r="D19" t="s">
        <v>0</v>
      </c>
      <c r="F19" s="1"/>
      <c r="G19" s="9" t="s">
        <v>28</v>
      </c>
      <c r="K19" s="19"/>
      <c r="L19" s="20">
        <f>IF(K18&lt;0.9,1,0)</f>
        <v>1</v>
      </c>
      <c r="M19" s="20">
        <f>IF(K18&gt;0.75,1,0)</f>
        <v>1</v>
      </c>
      <c r="N19" s="20"/>
      <c r="O19" s="20"/>
      <c r="P19" s="21"/>
    </row>
    <row r="20" spans="5:16" ht="12.75">
      <c r="E20" t="s">
        <v>44</v>
      </c>
      <c r="F20" s="1">
        <f>K4*C19</f>
        <v>237.5</v>
      </c>
      <c r="G20" s="1">
        <f>F20</f>
        <v>237.5</v>
      </c>
      <c r="H20" t="s">
        <v>0</v>
      </c>
      <c r="K20" s="19"/>
      <c r="L20" s="20">
        <f>L18*L19</f>
        <v>0.8695923785725441</v>
      </c>
      <c r="M20" s="20">
        <f>M18*M19</f>
        <v>0.8695923785725441</v>
      </c>
      <c r="N20" s="20">
        <f>MAX(L20:M20)</f>
        <v>0.8695923785725441</v>
      </c>
      <c r="O20" s="20"/>
      <c r="P20" s="21"/>
    </row>
    <row r="21" spans="2:16" ht="12.75">
      <c r="B21" t="s">
        <v>21</v>
      </c>
      <c r="C21" s="12">
        <v>348000</v>
      </c>
      <c r="D21" t="s">
        <v>1</v>
      </c>
      <c r="F21" s="1"/>
      <c r="G21" s="9" t="s">
        <v>29</v>
      </c>
      <c r="K21" s="19"/>
      <c r="L21" s="20"/>
      <c r="M21" s="20"/>
      <c r="N21" s="20"/>
      <c r="O21" s="20"/>
      <c r="P21" s="21"/>
    </row>
    <row r="22" spans="5:16" ht="12.75">
      <c r="E22" t="s">
        <v>45</v>
      </c>
      <c r="F22" s="1">
        <f>0.333*C18</f>
        <v>561.105</v>
      </c>
      <c r="G22" s="1">
        <f>F22</f>
        <v>561.105</v>
      </c>
      <c r="H22" t="s">
        <v>0</v>
      </c>
      <c r="K22" s="19">
        <f>F6</f>
        <v>566661.0000000001</v>
      </c>
      <c r="L22" s="22">
        <f>G9</f>
        <v>-123.79205882352942</v>
      </c>
      <c r="M22" s="22">
        <f>K22*L22</f>
        <v>-70148131.84500001</v>
      </c>
      <c r="N22" s="22">
        <f>G12</f>
        <v>856.4705882352941</v>
      </c>
      <c r="O22" s="20">
        <f>K22*N22</f>
        <v>485328480.0000001</v>
      </c>
      <c r="P22" s="21"/>
    </row>
    <row r="23" spans="11:16" ht="12.75">
      <c r="K23" s="19">
        <f>F7</f>
        <v>13340</v>
      </c>
      <c r="L23" s="20">
        <f>G10</f>
        <v>-214</v>
      </c>
      <c r="M23" s="22">
        <f>K23*L23</f>
        <v>-2854760</v>
      </c>
      <c r="N23" s="22">
        <f>G13</f>
        <v>60.53333333333333</v>
      </c>
      <c r="O23" s="20">
        <f>K23*N23</f>
        <v>807514.6666666666</v>
      </c>
      <c r="P23" s="21"/>
    </row>
    <row r="24" spans="2:16" ht="12.75">
      <c r="B24" s="7" t="s">
        <v>36</v>
      </c>
      <c r="C24" s="7"/>
      <c r="D24" s="7"/>
      <c r="E24" s="7"/>
      <c r="F24" s="7"/>
      <c r="G24" s="7"/>
      <c r="H24" s="7"/>
      <c r="K24" s="25">
        <f>F18*K5</f>
        <v>522000</v>
      </c>
      <c r="L24" s="22">
        <f>G20</f>
        <v>237.5</v>
      </c>
      <c r="M24" s="22">
        <f>K24*L24</f>
        <v>123975000</v>
      </c>
      <c r="N24" s="22">
        <f>G22</f>
        <v>561.105</v>
      </c>
      <c r="O24" s="20">
        <f>K24*N24</f>
        <v>292896810</v>
      </c>
      <c r="P24" s="21"/>
    </row>
    <row r="25" spans="11:16" ht="12.75">
      <c r="K25" s="26">
        <f>SUM(K22:K24)</f>
        <v>1102001</v>
      </c>
      <c r="L25" s="27">
        <f>M25/K25</f>
        <v>46.25413965595311</v>
      </c>
      <c r="M25" s="28">
        <f>SUM(M22:M24)</f>
        <v>50972108.15499999</v>
      </c>
      <c r="N25" s="27">
        <f>O25/K25</f>
        <v>706.9256785308423</v>
      </c>
      <c r="O25" s="28">
        <f>SUM(O22:O24)</f>
        <v>779032804.6666667</v>
      </c>
      <c r="P25" s="29"/>
    </row>
    <row r="26" spans="2:3" ht="12.75">
      <c r="B26" t="s">
        <v>25</v>
      </c>
      <c r="C26" s="12">
        <v>80</v>
      </c>
    </row>
    <row r="27" spans="2:3" ht="12.75">
      <c r="B27" t="s">
        <v>26</v>
      </c>
      <c r="C27" s="12">
        <v>14</v>
      </c>
    </row>
    <row r="29" spans="2:4" ht="12.75">
      <c r="B29" t="s">
        <v>30</v>
      </c>
      <c r="C29" s="1">
        <f>F6+F7+F18</f>
        <v>928001.0000000001</v>
      </c>
      <c r="D29" t="s">
        <v>1</v>
      </c>
    </row>
    <row r="30" spans="2:5" ht="12.75">
      <c r="B30" t="s">
        <v>49</v>
      </c>
      <c r="C30" s="1">
        <f>L25</f>
        <v>46.25413965595311</v>
      </c>
      <c r="D30" t="s">
        <v>0</v>
      </c>
      <c r="E30" s="15" t="s">
        <v>32</v>
      </c>
    </row>
    <row r="31" spans="2:4" ht="12.75">
      <c r="B31" t="s">
        <v>50</v>
      </c>
      <c r="C31" s="1">
        <f>N25</f>
        <v>706.9256785308423</v>
      </c>
      <c r="D31" t="s">
        <v>0</v>
      </c>
    </row>
    <row r="33" spans="2:8" ht="12.75">
      <c r="B33" s="7" t="s">
        <v>37</v>
      </c>
      <c r="C33" s="7"/>
      <c r="D33" s="7"/>
      <c r="E33" s="7"/>
      <c r="F33" s="7"/>
      <c r="G33" s="7"/>
      <c r="H33" s="32" t="s">
        <v>53</v>
      </c>
    </row>
    <row r="35" spans="2:4" ht="12.75">
      <c r="B35" t="s">
        <v>27</v>
      </c>
      <c r="C35" s="14">
        <v>2</v>
      </c>
      <c r="D35" t="s">
        <v>35</v>
      </c>
    </row>
    <row r="37" spans="2:4" ht="12.75">
      <c r="B37" t="str">
        <f>B29</f>
        <v>total sail area</v>
      </c>
      <c r="C37" s="1">
        <f>C29</f>
        <v>928001.0000000001</v>
      </c>
      <c r="D37" t="s">
        <v>1</v>
      </c>
    </row>
    <row r="38" spans="2:5" ht="12.75">
      <c r="B38" t="s">
        <v>49</v>
      </c>
      <c r="C38" s="1">
        <f>C30-C31*SIN(C35/57.3)</f>
        <v>21.584605723283406</v>
      </c>
      <c r="D38" t="s">
        <v>0</v>
      </c>
      <c r="E38" s="15" t="s">
        <v>32</v>
      </c>
    </row>
    <row r="39" spans="2:8" ht="12.75">
      <c r="B39" t="s">
        <v>50</v>
      </c>
      <c r="C39" s="1">
        <f>C31*SIN((90-C35)/57.3)</f>
        <v>706.4922429803639</v>
      </c>
      <c r="D39" t="s">
        <v>0</v>
      </c>
      <c r="H39" s="31" t="s">
        <v>51</v>
      </c>
    </row>
  </sheetData>
  <sheetProtection password="CB97" sheet="1" objects="1" scenarios="1"/>
  <printOptions horizontalCentered="1" verticalCentered="1"/>
  <pageMargins left="0.7480314960629921" right="0.7480314960629921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9"/>
  <sheetViews>
    <sheetView tabSelected="1" workbookViewId="0" topLeftCell="A1">
      <selection activeCell="E21" sqref="E21"/>
    </sheetView>
  </sheetViews>
  <sheetFormatPr defaultColWidth="9.140625" defaultRowHeight="12.75"/>
  <cols>
    <col min="1" max="1" width="4.7109375" style="0" customWidth="1"/>
    <col min="2" max="2" width="41.28125" style="0" customWidth="1"/>
    <col min="5" max="5" width="33.00390625" style="0" customWidth="1"/>
    <col min="7" max="7" width="18.28125" style="0" customWidth="1"/>
    <col min="10" max="10" width="2.00390625" style="0" customWidth="1"/>
    <col min="11" max="11" width="9.140625" style="0" hidden="1" customWidth="1"/>
    <col min="12" max="12" width="14.140625" style="0" hidden="1" customWidth="1"/>
    <col min="13" max="13" width="9.140625" style="0" hidden="1" customWidth="1"/>
    <col min="14" max="14" width="11.8515625" style="0" hidden="1" customWidth="1"/>
    <col min="15" max="15" width="9.140625" style="0" hidden="1" customWidth="1"/>
  </cols>
  <sheetData>
    <row r="2" spans="2:8" s="2" customFormat="1" ht="26.25">
      <c r="B2" s="3" t="s">
        <v>38</v>
      </c>
      <c r="C2" s="3"/>
      <c r="D2" s="3"/>
      <c r="E2" s="4"/>
      <c r="F2" s="5"/>
      <c r="G2" s="5"/>
      <c r="H2" s="6" t="s">
        <v>3</v>
      </c>
    </row>
    <row r="4" spans="2:8" ht="12.75">
      <c r="B4" s="7" t="s">
        <v>4</v>
      </c>
      <c r="C4" s="7"/>
      <c r="D4" s="7"/>
      <c r="E4" s="7"/>
      <c r="F4" s="7"/>
      <c r="G4" s="7"/>
      <c r="H4" s="7"/>
    </row>
    <row r="6" spans="2:15" ht="12.75">
      <c r="B6" t="s">
        <v>5</v>
      </c>
      <c r="C6" s="12">
        <v>20</v>
      </c>
      <c r="D6" t="s">
        <v>0</v>
      </c>
      <c r="E6" t="s">
        <v>12</v>
      </c>
      <c r="F6" s="8">
        <f>0.33333*(C12/4)*K11</f>
        <v>566661.0000000001</v>
      </c>
      <c r="G6" s="8"/>
      <c r="H6" t="s">
        <v>1</v>
      </c>
      <c r="J6" s="16">
        <v>1</v>
      </c>
      <c r="K6" s="17">
        <f>C6*J6</f>
        <v>20</v>
      </c>
      <c r="L6" s="17">
        <f>0.5*C6</f>
        <v>10</v>
      </c>
      <c r="M6" s="17">
        <f>K6*L6</f>
        <v>200</v>
      </c>
      <c r="N6" s="17">
        <v>1</v>
      </c>
      <c r="O6" s="18">
        <f>K6*N6</f>
        <v>20</v>
      </c>
    </row>
    <row r="7" spans="2:15" ht="12.75">
      <c r="B7" t="s">
        <v>18</v>
      </c>
      <c r="C7" s="12">
        <v>200</v>
      </c>
      <c r="D7" t="s">
        <v>0</v>
      </c>
      <c r="E7" t="s">
        <v>13</v>
      </c>
      <c r="F7" s="8">
        <f>C10*C13*J13</f>
        <v>13340</v>
      </c>
      <c r="G7" s="8"/>
      <c r="H7" t="s">
        <v>1</v>
      </c>
      <c r="J7" s="19">
        <v>4</v>
      </c>
      <c r="K7" s="20">
        <f>C7*J7</f>
        <v>800</v>
      </c>
      <c r="L7" s="20">
        <f>0.5*C7</f>
        <v>100</v>
      </c>
      <c r="M7" s="20">
        <f>K7*L7</f>
        <v>80000</v>
      </c>
      <c r="N7" s="20">
        <v>0.75</v>
      </c>
      <c r="O7" s="21">
        <f>K7*N7</f>
        <v>600</v>
      </c>
    </row>
    <row r="8" spans="2:15" ht="12.75">
      <c r="B8" t="s">
        <v>6</v>
      </c>
      <c r="C8" s="12">
        <v>310</v>
      </c>
      <c r="D8" t="s">
        <v>0</v>
      </c>
      <c r="F8" s="8"/>
      <c r="G8" s="9" t="s">
        <v>28</v>
      </c>
      <c r="J8" s="19">
        <v>2</v>
      </c>
      <c r="K8" s="20">
        <f>C8*J8</f>
        <v>620</v>
      </c>
      <c r="L8" s="20">
        <f>0.5*C8</f>
        <v>155</v>
      </c>
      <c r="M8" s="20">
        <f>K8*L8</f>
        <v>96100</v>
      </c>
      <c r="N8" s="20">
        <v>0.5</v>
      </c>
      <c r="O8" s="21">
        <f>K8*N8</f>
        <v>310</v>
      </c>
    </row>
    <row r="9" spans="2:15" ht="12.75">
      <c r="B9" t="s">
        <v>7</v>
      </c>
      <c r="C9" s="12">
        <v>390</v>
      </c>
      <c r="D9" t="s">
        <v>0</v>
      </c>
      <c r="E9" t="s">
        <v>14</v>
      </c>
      <c r="F9" s="1">
        <f>L11</f>
        <v>164.85294117647058</v>
      </c>
      <c r="G9" s="1">
        <f>-F9-C27</f>
        <v>-178.85294117647058</v>
      </c>
      <c r="H9" t="s">
        <v>0</v>
      </c>
      <c r="J9" s="19">
        <v>4</v>
      </c>
      <c r="K9" s="20">
        <f>C9*J9</f>
        <v>1560</v>
      </c>
      <c r="L9" s="20">
        <f>0.5*C9</f>
        <v>195</v>
      </c>
      <c r="M9" s="20">
        <f>K9*L9</f>
        <v>304200</v>
      </c>
      <c r="N9" s="20">
        <v>0.25</v>
      </c>
      <c r="O9" s="21">
        <f>K9*N9</f>
        <v>390</v>
      </c>
    </row>
    <row r="10" spans="2:15" ht="12.75">
      <c r="B10" t="s">
        <v>8</v>
      </c>
      <c r="C10" s="12">
        <v>400</v>
      </c>
      <c r="D10" t="s">
        <v>0</v>
      </c>
      <c r="E10" t="s">
        <v>11</v>
      </c>
      <c r="F10" s="8">
        <f>0.5*C10</f>
        <v>200</v>
      </c>
      <c r="G10" s="8">
        <f>-F10-C27</f>
        <v>-214</v>
      </c>
      <c r="H10" t="s">
        <v>0</v>
      </c>
      <c r="J10" s="19">
        <v>1</v>
      </c>
      <c r="K10" s="20">
        <f>C10*J10</f>
        <v>400</v>
      </c>
      <c r="L10" s="20">
        <f>0.5*C10</f>
        <v>200</v>
      </c>
      <c r="M10" s="20">
        <f>K10*L10</f>
        <v>80000</v>
      </c>
      <c r="N10" s="20">
        <v>0</v>
      </c>
      <c r="O10" s="21">
        <f>K10*N10</f>
        <v>0</v>
      </c>
    </row>
    <row r="11" spans="6:15" ht="12.75">
      <c r="F11" s="8"/>
      <c r="G11" s="9" t="s">
        <v>29</v>
      </c>
      <c r="J11" s="19"/>
      <c r="K11" s="20">
        <f>SUM(K6:K10)</f>
        <v>3400</v>
      </c>
      <c r="L11" s="22">
        <f>M11/K11</f>
        <v>164.85294117647058</v>
      </c>
      <c r="M11" s="20">
        <f>SUM(M6:M10)</f>
        <v>560500</v>
      </c>
      <c r="N11" s="23">
        <f>O11/K11</f>
        <v>0.38823529411764707</v>
      </c>
      <c r="O11" s="21">
        <f>SUM(O6:O10)</f>
        <v>1320</v>
      </c>
    </row>
    <row r="12" spans="2:15" ht="12.75">
      <c r="B12" t="s">
        <v>9</v>
      </c>
      <c r="C12" s="12">
        <v>2000</v>
      </c>
      <c r="D12" t="s">
        <v>0</v>
      </c>
      <c r="E12" t="s">
        <v>15</v>
      </c>
      <c r="F12" s="1">
        <f>C12*N11</f>
        <v>776.4705882352941</v>
      </c>
      <c r="G12" s="1">
        <f>F12+C26</f>
        <v>856.4705882352941</v>
      </c>
      <c r="H12" t="s">
        <v>0</v>
      </c>
      <c r="J12" s="19"/>
      <c r="K12" s="20"/>
      <c r="L12" s="20"/>
      <c r="M12" s="20"/>
      <c r="N12" s="20"/>
      <c r="O12" s="21"/>
    </row>
    <row r="13" spans="2:15" ht="12.75">
      <c r="B13" t="s">
        <v>10</v>
      </c>
      <c r="C13" s="12">
        <v>50</v>
      </c>
      <c r="D13" t="s">
        <v>0</v>
      </c>
      <c r="E13" t="s">
        <v>16</v>
      </c>
      <c r="F13" s="1">
        <f>-C13*J14</f>
        <v>-19.46666666666667</v>
      </c>
      <c r="G13" s="1">
        <f>C26+F13</f>
        <v>60.53333333333333</v>
      </c>
      <c r="H13" t="s">
        <v>0</v>
      </c>
      <c r="J13" s="19">
        <f>IF(C14="T",0.5,0.667)</f>
        <v>0.667</v>
      </c>
      <c r="K13" s="20"/>
      <c r="L13" s="20"/>
      <c r="M13" s="20"/>
      <c r="N13" s="20"/>
      <c r="O13" s="21"/>
    </row>
    <row r="14" spans="2:15" ht="12.75">
      <c r="B14" s="10" t="s">
        <v>34</v>
      </c>
      <c r="C14" s="13" t="s">
        <v>2</v>
      </c>
      <c r="E14" s="11" t="str">
        <f>IF(C14="T","triangular foot profile","curved foot profile")</f>
        <v>curved foot profile</v>
      </c>
      <c r="J14" s="24">
        <f>0.167+J13/3</f>
        <v>0.38933333333333336</v>
      </c>
      <c r="K14" s="20"/>
      <c r="L14" s="20"/>
      <c r="M14" s="20"/>
      <c r="N14" s="20"/>
      <c r="O14" s="21"/>
    </row>
    <row r="15" spans="10:15" ht="12.75">
      <c r="J15" s="19"/>
      <c r="K15" s="20"/>
      <c r="L15" s="20"/>
      <c r="M15" s="20"/>
      <c r="N15" s="20"/>
      <c r="O15" s="21"/>
    </row>
    <row r="16" spans="2:15" ht="12.75">
      <c r="B16" s="7" t="s">
        <v>17</v>
      </c>
      <c r="C16" s="7"/>
      <c r="D16" s="7"/>
      <c r="E16" s="7"/>
      <c r="F16" s="7"/>
      <c r="G16" s="7"/>
      <c r="H16" s="7"/>
      <c r="J16" s="19"/>
      <c r="K16" s="20"/>
      <c r="L16" s="20"/>
      <c r="M16" s="20"/>
      <c r="N16" s="20"/>
      <c r="O16" s="21"/>
    </row>
    <row r="17" spans="10:15" ht="12.75">
      <c r="J17" s="19"/>
      <c r="K17" s="20"/>
      <c r="L17" s="20"/>
      <c r="M17" s="20"/>
      <c r="N17" s="20"/>
      <c r="O17" s="21"/>
    </row>
    <row r="18" spans="2:15" ht="12.75">
      <c r="B18" t="s">
        <v>19</v>
      </c>
      <c r="C18" s="12">
        <v>1685</v>
      </c>
      <c r="D18" t="s">
        <v>0</v>
      </c>
      <c r="E18" t="s">
        <v>22</v>
      </c>
      <c r="F18" s="1">
        <f>C18*C19*0.5*M20</f>
        <v>348000</v>
      </c>
      <c r="G18" s="1"/>
      <c r="H18" t="s">
        <v>1</v>
      </c>
      <c r="J18" s="19">
        <f>C21/(0.5*C18*C19)</f>
        <v>0.8695923785725441</v>
      </c>
      <c r="K18" s="20">
        <f>IF(J18&lt;0.75,0.75,J18)</f>
        <v>0.8695923785725441</v>
      </c>
      <c r="L18" s="20">
        <f>IF(J18&gt;0.9,0.9,J18)</f>
        <v>0.8695923785725441</v>
      </c>
      <c r="M18" s="20"/>
      <c r="N18" s="20"/>
      <c r="O18" s="21"/>
    </row>
    <row r="19" spans="2:15" ht="12.75">
      <c r="B19" t="s">
        <v>20</v>
      </c>
      <c r="C19" s="12">
        <v>475</v>
      </c>
      <c r="D19" t="s">
        <v>0</v>
      </c>
      <c r="F19" s="1"/>
      <c r="G19" s="9" t="s">
        <v>28</v>
      </c>
      <c r="J19" s="19"/>
      <c r="K19" s="20">
        <f>IF(J18&lt;0.9,1,0)</f>
        <v>1</v>
      </c>
      <c r="L19" s="20">
        <f>IF(J18&gt;0.75,1,0)</f>
        <v>1</v>
      </c>
      <c r="M19" s="20"/>
      <c r="N19" s="20"/>
      <c r="O19" s="21"/>
    </row>
    <row r="20" spans="5:15" ht="12.75">
      <c r="E20" t="s">
        <v>23</v>
      </c>
      <c r="F20" s="1">
        <f>0.333*C19</f>
        <v>158.175</v>
      </c>
      <c r="G20" s="1">
        <f>F20</f>
        <v>158.175</v>
      </c>
      <c r="H20" t="s">
        <v>0</v>
      </c>
      <c r="J20" s="19"/>
      <c r="K20" s="20">
        <f>K18*K19</f>
        <v>0.8695923785725441</v>
      </c>
      <c r="L20" s="20">
        <f>L18*L19</f>
        <v>0.8695923785725441</v>
      </c>
      <c r="M20" s="20">
        <f>MAX(K20:L20)</f>
        <v>0.8695923785725441</v>
      </c>
      <c r="N20" s="20"/>
      <c r="O20" s="21"/>
    </row>
    <row r="21" spans="2:15" ht="12.75">
      <c r="B21" t="s">
        <v>21</v>
      </c>
      <c r="C21" s="12">
        <v>348000</v>
      </c>
      <c r="D21" t="s">
        <v>1</v>
      </c>
      <c r="F21" s="1"/>
      <c r="G21" s="9" t="s">
        <v>29</v>
      </c>
      <c r="J21" s="19"/>
      <c r="K21" s="20"/>
      <c r="L21" s="20"/>
      <c r="M21" s="20"/>
      <c r="N21" s="20"/>
      <c r="O21" s="21"/>
    </row>
    <row r="22" spans="5:15" ht="12.75">
      <c r="E22" t="s">
        <v>24</v>
      </c>
      <c r="F22" s="1">
        <f>0.333*C18</f>
        <v>561.105</v>
      </c>
      <c r="G22" s="1">
        <f>F22</f>
        <v>561.105</v>
      </c>
      <c r="H22" t="s">
        <v>0</v>
      </c>
      <c r="J22" s="19">
        <f>F6</f>
        <v>566661.0000000001</v>
      </c>
      <c r="K22" s="22">
        <f>G9</f>
        <v>-178.85294117647058</v>
      </c>
      <c r="L22" s="22">
        <f>J22*K22</f>
        <v>-101348986.50000001</v>
      </c>
      <c r="M22" s="22">
        <f>G12</f>
        <v>856.4705882352941</v>
      </c>
      <c r="N22" s="20">
        <f>J22*M22</f>
        <v>485328480.0000001</v>
      </c>
      <c r="O22" s="21"/>
    </row>
    <row r="23" spans="10:15" ht="12.75">
      <c r="J23" s="19">
        <f>F7</f>
        <v>13340</v>
      </c>
      <c r="K23" s="20">
        <f>G10</f>
        <v>-214</v>
      </c>
      <c r="L23" s="22">
        <f>J23*K23</f>
        <v>-2854760</v>
      </c>
      <c r="M23" s="22">
        <f>G13</f>
        <v>60.53333333333333</v>
      </c>
      <c r="N23" s="20">
        <f>J23*M23</f>
        <v>807514.6666666666</v>
      </c>
      <c r="O23" s="21"/>
    </row>
    <row r="24" spans="2:15" ht="12.75">
      <c r="B24" s="7" t="s">
        <v>36</v>
      </c>
      <c r="C24" s="7"/>
      <c r="D24" s="7"/>
      <c r="E24" s="7"/>
      <c r="F24" s="7"/>
      <c r="G24" s="7"/>
      <c r="H24" s="7"/>
      <c r="J24" s="25">
        <f>F18</f>
        <v>348000</v>
      </c>
      <c r="K24" s="22">
        <f>G20</f>
        <v>158.175</v>
      </c>
      <c r="L24" s="22">
        <f>J24*K24</f>
        <v>55044900.00000001</v>
      </c>
      <c r="M24" s="22">
        <f>G22</f>
        <v>561.105</v>
      </c>
      <c r="N24" s="20">
        <f>J24*M24</f>
        <v>195264540</v>
      </c>
      <c r="O24" s="21"/>
    </row>
    <row r="25" spans="10:15" ht="12.75">
      <c r="J25" s="26">
        <f>SUM(J22:J24)</f>
        <v>928001.0000000001</v>
      </c>
      <c r="K25" s="27">
        <f>L25/J25</f>
        <v>-52.97283785254542</v>
      </c>
      <c r="L25" s="28">
        <f>SUM(L22:L24)</f>
        <v>-49158846.50000001</v>
      </c>
      <c r="M25" s="27">
        <f>N25/J25</f>
        <v>734.267026292716</v>
      </c>
      <c r="N25" s="28">
        <f>SUM(N22:N24)</f>
        <v>681400534.6666667</v>
      </c>
      <c r="O25" s="29"/>
    </row>
    <row r="26" spans="2:3" ht="12.75">
      <c r="B26" t="s">
        <v>25</v>
      </c>
      <c r="C26" s="12">
        <v>80</v>
      </c>
    </row>
    <row r="27" spans="2:3" ht="12.75">
      <c r="B27" t="s">
        <v>26</v>
      </c>
      <c r="C27" s="12">
        <v>14</v>
      </c>
    </row>
    <row r="29" spans="2:4" ht="12.75">
      <c r="B29" t="s">
        <v>30</v>
      </c>
      <c r="C29" s="1">
        <f>F6+F7+F18</f>
        <v>928001.0000000001</v>
      </c>
      <c r="D29" t="s">
        <v>1</v>
      </c>
    </row>
    <row r="30" spans="2:5" ht="12.75">
      <c r="B30" t="s">
        <v>31</v>
      </c>
      <c r="C30" s="1">
        <f>K25</f>
        <v>-52.97283785254542</v>
      </c>
      <c r="D30" t="s">
        <v>0</v>
      </c>
      <c r="E30" s="15" t="s">
        <v>32</v>
      </c>
    </row>
    <row r="31" spans="2:4" ht="12.75">
      <c r="B31" t="s">
        <v>33</v>
      </c>
      <c r="C31" s="1">
        <f>M25</f>
        <v>734.267026292716</v>
      </c>
      <c r="D31" t="s">
        <v>0</v>
      </c>
    </row>
    <row r="33" spans="2:8" ht="12.75">
      <c r="B33" s="7" t="s">
        <v>37</v>
      </c>
      <c r="C33" s="7"/>
      <c r="D33" s="7"/>
      <c r="E33" s="7"/>
      <c r="F33" s="7"/>
      <c r="G33" s="7"/>
      <c r="H33" s="7"/>
    </row>
    <row r="35" spans="2:4" ht="12.75">
      <c r="B35" t="s">
        <v>27</v>
      </c>
      <c r="C35" s="14">
        <v>2</v>
      </c>
      <c r="D35" t="s">
        <v>35</v>
      </c>
    </row>
    <row r="37" spans="2:4" ht="12.75">
      <c r="B37" t="str">
        <f>B29</f>
        <v>total sail area</v>
      </c>
      <c r="C37" s="1">
        <f>C29</f>
        <v>928001.0000000001</v>
      </c>
      <c r="D37" t="s">
        <v>1</v>
      </c>
    </row>
    <row r="38" spans="2:5" ht="12.75">
      <c r="B38" t="s">
        <v>31</v>
      </c>
      <c r="C38" s="1">
        <f>C30-C31*SIN(C35/57.3)</f>
        <v>-78.59650080734689</v>
      </c>
      <c r="D38" t="s">
        <v>0</v>
      </c>
      <c r="E38" s="15" t="s">
        <v>32</v>
      </c>
    </row>
    <row r="39" spans="2:8" ht="12.75">
      <c r="B39" t="s">
        <v>33</v>
      </c>
      <c r="C39" s="1">
        <f>C31*SIN((90-C35)/57.3)</f>
        <v>733.816827010946</v>
      </c>
      <c r="D39" t="s">
        <v>0</v>
      </c>
      <c r="H39" s="31" t="str">
        <f>'rig centre of effort'!H39</f>
        <v>v1 version January 2016</v>
      </c>
    </row>
  </sheetData>
  <sheetProtection password="CB97" sheet="1" objects="1" scenarios="1"/>
  <printOptions gridLines="1" horizontalCentered="1" verticalCentered="1"/>
  <pageMargins left="0.7480314960629921" right="0.7480314960629921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SAILSetc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 Bantock</dc:creator>
  <cp:keywords/>
  <dc:description/>
  <cp:lastModifiedBy>Graham</cp:lastModifiedBy>
  <cp:lastPrinted>2013-11-07T17:51:49Z</cp:lastPrinted>
  <dcterms:created xsi:type="dcterms:W3CDTF">2002-12-19T19:51:31Z</dcterms:created>
  <dcterms:modified xsi:type="dcterms:W3CDTF">2016-01-19T16:26:59Z</dcterms:modified>
  <cp:category/>
  <cp:version/>
  <cp:contentType/>
  <cp:contentStatus/>
</cp:coreProperties>
</file>